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  <Override PartName="/xl/threadedComments/threadedComment2.xml" ContentType="application/vnd.ms-excel.threadedcomments+xml"/>
  <Override PartName="/xl/threadedComments/threadedComment3.xml" ContentType="application/vnd.ms-excel.threadedcomments+xml"/>
  <Override PartName="/xl/threadedComments/threadedComment4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tt/github/ReboundPaper2019/data/"/>
    </mc:Choice>
  </mc:AlternateContent>
  <xr:revisionPtr revIDLastSave="0" documentId="13_ncr:1_{1BFCB3B4-4E45-4943-89CB-10C0E5C678E1}" xr6:coauthVersionLast="44" xr6:coauthVersionMax="44" xr10:uidLastSave="{00000000-0000-0000-0000-000000000000}"/>
  <bookViews>
    <workbookView xWindow="0" yWindow="460" windowWidth="28800" windowHeight="17540" activeTab="5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GDP">'Economic data'!$C$2</definedName>
    <definedName name="MJ_per_gal">'Conversion Factors'!$B$5</definedName>
    <definedName name="MJ_per_ktoe">'Conversion Factors'!$B$2</definedName>
    <definedName name="MJ_per_kWhr">'Conversion Factors'!$B$3</definedName>
    <definedName name="MPC">'Economic data'!$A$2</definedName>
    <definedName name="TFC">'Economic data'!$B$2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B90" i="5" l="1"/>
  <c r="B89" i="5"/>
  <c r="B88" i="5"/>
  <c r="B84" i="5"/>
  <c r="B83" i="5"/>
  <c r="B70" i="5"/>
  <c r="B74" i="5"/>
  <c r="B26" i="5" l="1"/>
  <c r="B6" i="5"/>
  <c r="D3" i="1" l="1"/>
  <c r="B39" i="6"/>
  <c r="B41" i="6" s="1"/>
  <c r="B37" i="6"/>
  <c r="B36" i="6"/>
  <c r="B25" i="6"/>
  <c r="B49" i="6" s="1"/>
  <c r="B50" i="6" s="1"/>
  <c r="I3" i="1" s="1"/>
  <c r="B27" i="6"/>
  <c r="B28" i="6" s="1"/>
  <c r="G3" i="1" s="1"/>
  <c r="B21" i="6"/>
  <c r="B19" i="6"/>
  <c r="E3" i="1" s="1"/>
  <c r="B6" i="6"/>
  <c r="C3" i="1" s="1"/>
  <c r="B45" i="6" l="1"/>
  <c r="H3" i="1" s="1"/>
  <c r="B51" i="6"/>
  <c r="B52" i="6" s="1"/>
  <c r="J3" i="1" s="1"/>
  <c r="B26" i="6"/>
  <c r="F3" i="1" s="1"/>
  <c r="D2" i="1" l="1"/>
  <c r="B56" i="5"/>
  <c r="B57" i="5" s="1"/>
  <c r="B58" i="5" s="1"/>
  <c r="B29" i="5"/>
  <c r="B30" i="5" s="1"/>
  <c r="B18" i="5"/>
  <c r="G2" i="1" l="1"/>
  <c r="I2" i="1"/>
  <c r="B11" i="5"/>
  <c r="B20" i="5" s="1"/>
  <c r="B27" i="5"/>
  <c r="B28" i="5" s="1"/>
  <c r="B73" i="5" s="1"/>
  <c r="B44" i="5"/>
  <c r="B38" i="5"/>
  <c r="C2" i="1"/>
  <c r="B71" i="5"/>
  <c r="F2" i="1" l="1"/>
  <c r="E2" i="1"/>
  <c r="B22" i="5"/>
  <c r="B47" i="5"/>
  <c r="B59" i="5"/>
  <c r="B60" i="5" s="1"/>
  <c r="B40" i="5"/>
  <c r="J2" i="1" l="1"/>
  <c r="B72" i="5"/>
  <c r="H2" i="1"/>
  <c r="B49" i="5"/>
  <c r="B77" i="5" l="1"/>
  <c r="B76" i="5"/>
  <c r="B80" i="5" l="1"/>
  <c r="B82" i="5" s="1"/>
  <c r="B78" i="5"/>
  <c r="B79" i="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Marginal Propensity to Consume [-]</t>
        </r>
      </text>
    </comment>
    <comment ref="B1" authorId="1" shapeId="0" xr:uid="{C9AAF3F9-AB53-B74F-AAB3-18867750431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Energy total final consumption for the US in 2016 [MJ]. Source: IEA extended energy balances 2018.</t>
        </r>
      </text>
    </comment>
    <comment ref="C1" authorId="2" shapeId="0" xr:uid="{EDB7354F-9C95-8646-AA76-D4E19F4DD586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U.S. Gross Domestic Product [2016 USD]. Source: Bureau of Economic Analysis, National income and product accounts, Ta- ble 1.1.5. Gross Domestic Product (https://apps.bea.gov/iTable/iTable.cfm?reqid=19&amp;step=2)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9" authorId="1" shapeId="0" xr:uid="{AD5239DB-E9DD-DA4E-B1B9-11F2751D8B5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55" authorId="2" shapeId="0" xr:uid="{CB3A4D37-2BE9-2B40-8B52-36B3DA26E41C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tc={8A4A3D01-E799-5041-9A80-B09F68D5AC04}</author>
    <author>tc={CB3A4D37-2BE9-2B41-8B52-36B3DA26E41C}</author>
  </authors>
  <commentList>
    <comment ref="B21" authorId="0" shapeId="0" xr:uid="{2FD09999-9BD2-6042-8988-F46053027C3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8" authorId="1" shapeId="0" xr:uid="{6E4A6055-D033-6242-ADB2-EA8ECBED2B1E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Price of final energy [$/MJ]</t>
        </r>
      </text>
    </comment>
    <comment ref="H1" authorId="1" shapeId="0" xr:uid="{5AD6B710-EB47-624A-8A2B-FFA78E02B50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Lifetime cost of final energy for the energy efficient case.</t>
        </r>
      </text>
    </comment>
  </commentList>
</comments>
</file>

<file path=xl/sharedStrings.xml><?xml version="1.0" encoding="utf-8"?>
<sst xmlns="http://schemas.openxmlformats.org/spreadsheetml/2006/main" count="186" uniqueCount="86">
  <si>
    <t>People</t>
  </si>
  <si>
    <t>Example</t>
  </si>
  <si>
    <t>Re_dev</t>
  </si>
  <si>
    <t>MPC</t>
  </si>
  <si>
    <t>TFC</t>
  </si>
  <si>
    <t>GDP</t>
  </si>
  <si>
    <t>Light</t>
  </si>
  <si>
    <t>Car</t>
  </si>
  <si>
    <t>MJ_per_ktoe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</si>
  <si>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</si>
  <si>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</si>
  <si>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</si>
  <si>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</si>
  <si>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</si>
  <si>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</si>
  <si>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</si>
  <si>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</si>
  <si>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</si>
  <si>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</si>
  <si>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</si>
  <si>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</si>
  <si>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</si>
  <si>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</si>
  <si>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</si>
  <si>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</si>
  <si>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</si>
  <si>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</si>
  <si>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</si>
  <si>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</si>
  <si>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</si>
  <si>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</si>
  <si>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</si>
  <si>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</si>
  <si>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</si>
  <si>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</si>
  <si>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</si>
  <si>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</si>
  <si>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</si>
  <si>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</si>
  <si>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</si>
  <si>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</si>
  <si>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</si>
  <si>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</si>
  <si>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</si>
  <si>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</si>
  <si>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E_dot_emb_base</t>
  </si>
  <si>
    <t>E_dot_emb_EE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</si>
  <si>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</si>
  <si>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</si>
  <si>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</si>
  <si>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</si>
  <si>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</si>
  <si>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</si>
  <si>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</si>
  <si>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</si>
  <si>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</si>
  <si>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</si>
  <si>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</si>
  <si>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</si>
  <si>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</si>
  <si>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</si>
  <si>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</si>
  <si>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</si>
  <si>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</si>
  <si>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</si>
  <si>
    <t>p_E</t>
  </si>
  <si>
    <t>E_dot_sav_dev_expected</t>
  </si>
  <si>
    <t>E_dot_sav_dev</t>
  </si>
  <si>
    <t>C_dot_sav_dev_net</t>
  </si>
  <si>
    <t>k</t>
  </si>
  <si>
    <t>-</t>
  </si>
  <si>
    <t>I</t>
  </si>
  <si>
    <t>MJ/$</t>
  </si>
  <si>
    <t>Re_EW</t>
  </si>
  <si>
    <t>E_dot_cost_dev_emb</t>
  </si>
  <si>
    <t>C_dot_impl</t>
  </si>
  <si>
    <t>E_dot_dir_EE</t>
  </si>
  <si>
    <t>E_dot_dir_base</t>
  </si>
  <si>
    <t>E_dot_sav_dev_dir</t>
  </si>
  <si>
    <t>E_dot_sav_dev_dir_expected</t>
  </si>
  <si>
    <t>C_dot_sav_dev_dir</t>
  </si>
  <si>
    <t>E_dot_nd_EW</t>
  </si>
  <si>
    <t>E_dot_sav_EW_net</t>
  </si>
  <si>
    <t>epsilon</t>
  </si>
  <si>
    <t>gamma</t>
  </si>
  <si>
    <t>Final energy price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</si>
</sst>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4" fillId="0" borderId="0" xfId="0" applyFont="1"/>
    <xf numFmtId="0" fontId="0" fillId="0" borderId="0" xfId="0" applyFont="1"/>
    <xf numFmtId="0" fontId="0" fillId="3" borderId="0" xfId="0" applyFill="1"/>
    <xf numFmtId="0" fontId="5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C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9" dT="2019-08-18T19:47:41.02" personId="{46ED2D70-607F-3A4D-B441-2D3E787D417A}" id="{AD5239DB-E9DD-DA4E-B1B9-11F2751D8B5F}">
    <text>Includes replacement cost</text>
  </threadedComment>
  <threadedComment ref="B55" dT="2019-08-18T20:45:26.76" personId="{46ED2D70-607F-3A4D-B441-2D3E787D417A}" id="{CB3A4D37-2BE9-2B40-8B52-36B3DA26E41C}">
    <text>Ratio of embodied energy in LED vs. incandescent lights. [-]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1" dT="2019-08-18T19:47:50.57" personId="{46ED2D70-607F-3A4D-B441-2D3E787D417A}" id="{8A4A3D01-E799-5041-9A80-B09F68D5AC04}">
    <text>Includes replacement cost</text>
  </threadedComment>
  <threadedComment ref="B48" dT="2019-08-18T20:45:26.76" personId="{46ED2D70-607F-3A4D-B441-2D3E787D417A}" id="{CB3A4D37-2BE9-2B41-8B52-36B3DA26E41C}">
    <text>Ratio of embodied energy in LED vs. incandescent lights. [-]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H1" dT="2019-08-18T18:31:23.49" personId="{46ED2D70-607F-3A4D-B441-2D3E787D417A}" id="{5AD6B710-EB47-624A-8A2B-FFA78E02B50F}">
    <text>Lifetime cost of final energy for the energy efficient case.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4" Type="http://schemas.microsoft.com/office/2017/10/relationships/threadedComment" Target="../threadedComments/threadedComment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4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8</v>
      </c>
      <c r="B2">
        <v>41868000</v>
      </c>
    </row>
    <row r="3" spans="1:2" x14ac:dyDescent="0.2">
      <c r="A3" t="s">
        <v>10</v>
      </c>
      <c r="B3">
        <v>3.6</v>
      </c>
    </row>
    <row r="5" spans="1:2" x14ac:dyDescent="0.2">
      <c r="A5" t="s">
        <v>51</v>
      </c>
      <c r="B5">
        <v>131.76</v>
      </c>
    </row>
    <row r="34" spans="5:5" x14ac:dyDescent="0.2">
      <c r="E34" t="s">
        <v>52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C2"/>
  <sheetViews>
    <sheetView workbookViewId="0">
      <selection activeCell="A3" sqref="A3"/>
    </sheetView>
  </sheetViews>
  <sheetFormatPr baseColWidth="10" defaultRowHeight="16" x14ac:dyDescent="0.2"/>
  <cols>
    <col min="2" max="2" width="12.1640625" bestFit="1" customWidth="1"/>
  </cols>
  <sheetData>
    <row r="1" spans="1:3" x14ac:dyDescent="0.2">
      <c r="A1" t="s">
        <v>3</v>
      </c>
      <c r="B1" t="s">
        <v>4</v>
      </c>
      <c r="C1" t="s">
        <v>5</v>
      </c>
    </row>
    <row r="2" spans="1:3" x14ac:dyDescent="0.2">
      <c r="A2">
        <v>0.95</v>
      </c>
      <c r="B2">
        <v>80078472810000</v>
      </c>
      <c r="C2" s="1">
        <v>20580220000000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90"/>
  <sheetViews>
    <sheetView topLeftCell="A58" zoomScaleNormal="100" workbookViewId="0">
      <selection activeCell="A5" sqref="A5"/>
    </sheetView>
  </sheetViews>
  <sheetFormatPr baseColWidth="10" defaultRowHeight="16" x14ac:dyDescent="0.2"/>
  <cols>
    <col min="1" max="1" width="24.33203125" customWidth="1"/>
  </cols>
  <sheetData>
    <row r="4" spans="1:3" x14ac:dyDescent="0.2">
      <c r="A4" s="2" t="s">
        <v>85</v>
      </c>
    </row>
    <row r="5" spans="1:3" x14ac:dyDescent="0.2">
      <c r="A5" t="s">
        <v>65</v>
      </c>
      <c r="B5" s="3">
        <v>0.11</v>
      </c>
      <c r="C5" t="s">
        <v>9</v>
      </c>
    </row>
    <row r="6" spans="1:3" x14ac:dyDescent="0.2">
      <c r="A6" t="s">
        <v>65</v>
      </c>
      <c r="B6" s="8">
        <f>B5/MJ_per_kWhr</f>
        <v>3.0555555555555555E-2</v>
      </c>
      <c r="C6" t="s">
        <v>11</v>
      </c>
    </row>
    <row r="8" spans="1:3" ht="26" x14ac:dyDescent="0.3">
      <c r="A8" s="4" t="s">
        <v>16</v>
      </c>
    </row>
    <row r="9" spans="1:3" x14ac:dyDescent="0.2">
      <c r="A9" s="2"/>
    </row>
    <row r="10" spans="1:3" x14ac:dyDescent="0.2">
      <c r="A10" t="s">
        <v>41</v>
      </c>
      <c r="B10" s="3">
        <v>15.39</v>
      </c>
      <c r="C10" t="s">
        <v>18</v>
      </c>
    </row>
    <row r="11" spans="1:3" x14ac:dyDescent="0.2">
      <c r="A11" t="s">
        <v>41</v>
      </c>
      <c r="B11">
        <f>B10/6</f>
        <v>2.5649999999999999</v>
      </c>
      <c r="C11" t="s">
        <v>13</v>
      </c>
    </row>
    <row r="12" spans="1:3" x14ac:dyDescent="0.2">
      <c r="A12" t="s">
        <v>19</v>
      </c>
      <c r="B12" s="3">
        <v>1000</v>
      </c>
      <c r="C12" t="s">
        <v>20</v>
      </c>
    </row>
    <row r="13" spans="1:3" x14ac:dyDescent="0.2">
      <c r="A13" t="s">
        <v>21</v>
      </c>
      <c r="B13" s="3">
        <v>60</v>
      </c>
      <c r="C13" t="s">
        <v>22</v>
      </c>
    </row>
    <row r="14" spans="1:3" x14ac:dyDescent="0.2">
      <c r="A14" s="5"/>
    </row>
    <row r="15" spans="1:3" x14ac:dyDescent="0.2">
      <c r="A15" t="s">
        <v>24</v>
      </c>
      <c r="B15" s="3">
        <v>7.23</v>
      </c>
      <c r="C15" t="s">
        <v>23</v>
      </c>
    </row>
    <row r="16" spans="1:3" x14ac:dyDescent="0.2">
      <c r="A16" t="s">
        <v>25</v>
      </c>
      <c r="B16" s="3">
        <v>3</v>
      </c>
      <c r="C16" t="s">
        <v>26</v>
      </c>
    </row>
    <row r="17" spans="1:5" x14ac:dyDescent="0.2">
      <c r="A17" t="s">
        <v>19</v>
      </c>
      <c r="B17" s="3">
        <v>0.9</v>
      </c>
      <c r="C17" t="s">
        <v>27</v>
      </c>
    </row>
    <row r="18" spans="1:5" x14ac:dyDescent="0.2">
      <c r="A18" t="s">
        <v>19</v>
      </c>
      <c r="B18" s="6">
        <f>B17*B16*365.25</f>
        <v>986.17500000000007</v>
      </c>
      <c r="C18" t="s">
        <v>20</v>
      </c>
    </row>
    <row r="19" spans="1:5" x14ac:dyDescent="0.2">
      <c r="B19" s="6"/>
    </row>
    <row r="20" spans="1:5" x14ac:dyDescent="0.2">
      <c r="A20" t="s">
        <v>43</v>
      </c>
      <c r="B20" s="8">
        <f>B11/B17</f>
        <v>2.85</v>
      </c>
      <c r="C20" t="s">
        <v>33</v>
      </c>
    </row>
    <row r="21" spans="1:5" x14ac:dyDescent="0.2">
      <c r="B21" s="6"/>
    </row>
    <row r="22" spans="1:5" x14ac:dyDescent="0.2">
      <c r="A22" t="s">
        <v>32</v>
      </c>
      <c r="B22">
        <f>B15+B20</f>
        <v>10.08</v>
      </c>
      <c r="C22" t="s">
        <v>33</v>
      </c>
      <c r="E22" t="s">
        <v>35</v>
      </c>
    </row>
    <row r="23" spans="1:5" x14ac:dyDescent="0.2">
      <c r="B23" s="6"/>
    </row>
    <row r="24" spans="1:5" x14ac:dyDescent="0.2">
      <c r="B24" s="6"/>
    </row>
    <row r="25" spans="1:5" x14ac:dyDescent="0.2">
      <c r="A25" t="s">
        <v>28</v>
      </c>
      <c r="B25" s="3">
        <v>60.29</v>
      </c>
      <c r="C25" t="s">
        <v>40</v>
      </c>
    </row>
    <row r="26" spans="1:5" x14ac:dyDescent="0.2">
      <c r="A26" t="s">
        <v>28</v>
      </c>
      <c r="B26" s="6">
        <f>B25*MJ_per_kWhr</f>
        <v>217.04400000000001</v>
      </c>
      <c r="C26" t="s">
        <v>36</v>
      </c>
    </row>
    <row r="27" spans="1:5" x14ac:dyDescent="0.2">
      <c r="A27" t="s">
        <v>45</v>
      </c>
      <c r="B27">
        <f>B25/B17</f>
        <v>66.98888888888888</v>
      </c>
      <c r="C27" t="s">
        <v>34</v>
      </c>
    </row>
    <row r="28" spans="1:5" x14ac:dyDescent="0.2">
      <c r="A28" t="s">
        <v>45</v>
      </c>
      <c r="B28" s="8">
        <f>B27*MJ_per_kWhr</f>
        <v>241.15999999999997</v>
      </c>
      <c r="C28" t="s">
        <v>36</v>
      </c>
    </row>
    <row r="29" spans="1:5" x14ac:dyDescent="0.2">
      <c r="A29" t="s">
        <v>77</v>
      </c>
      <c r="B29">
        <f>B13 / 1000 * B16 * 365.25</f>
        <v>65.745000000000005</v>
      </c>
      <c r="C29" t="s">
        <v>34</v>
      </c>
    </row>
    <row r="30" spans="1:5" x14ac:dyDescent="0.2">
      <c r="A30" t="s">
        <v>77</v>
      </c>
      <c r="B30" s="8">
        <f>B29*MJ_per_kWhr</f>
        <v>236.68200000000002</v>
      </c>
      <c r="C30" t="s">
        <v>36</v>
      </c>
    </row>
    <row r="34" spans="1:7" x14ac:dyDescent="0.2">
      <c r="G34" s="12" t="s">
        <v>29</v>
      </c>
    </row>
    <row r="35" spans="1:7" ht="26" x14ac:dyDescent="0.3">
      <c r="A35" s="4" t="s">
        <v>17</v>
      </c>
    </row>
    <row r="36" spans="1:7" x14ac:dyDescent="0.2">
      <c r="A36" s="2"/>
    </row>
    <row r="37" spans="1:7" x14ac:dyDescent="0.2">
      <c r="A37" t="s">
        <v>41</v>
      </c>
      <c r="B37" s="3">
        <v>23.99</v>
      </c>
      <c r="C37" t="s">
        <v>14</v>
      </c>
    </row>
    <row r="38" spans="1:7" x14ac:dyDescent="0.2">
      <c r="A38" t="s">
        <v>41</v>
      </c>
      <c r="B38">
        <f>B37/24</f>
        <v>0.99958333333333327</v>
      </c>
      <c r="C38" t="s">
        <v>13</v>
      </c>
    </row>
    <row r="39" spans="1:7" x14ac:dyDescent="0.2">
      <c r="A39" t="s">
        <v>19</v>
      </c>
      <c r="B39" s="3">
        <v>12</v>
      </c>
      <c r="C39" t="s">
        <v>30</v>
      </c>
    </row>
    <row r="40" spans="1:7" x14ac:dyDescent="0.2">
      <c r="B40" s="6">
        <f>B39*B44*365.25</f>
        <v>13090.909090909094</v>
      </c>
      <c r="C40" t="s">
        <v>20</v>
      </c>
    </row>
    <row r="41" spans="1:7" x14ac:dyDescent="0.2">
      <c r="A41" t="s">
        <v>21</v>
      </c>
      <c r="B41" s="3">
        <v>8.5</v>
      </c>
      <c r="C41" t="s">
        <v>22</v>
      </c>
    </row>
    <row r="43" spans="1:7" x14ac:dyDescent="0.2">
      <c r="A43" t="s">
        <v>24</v>
      </c>
      <c r="B43" s="3">
        <v>1.02</v>
      </c>
      <c r="C43" t="s">
        <v>23</v>
      </c>
    </row>
    <row r="44" spans="1:7" x14ac:dyDescent="0.2">
      <c r="A44" t="s">
        <v>25</v>
      </c>
      <c r="B44">
        <f>B43/B5 * 1000 / 365.25 / 8.5</f>
        <v>2.9867463132350203</v>
      </c>
      <c r="C44" t="s">
        <v>31</v>
      </c>
    </row>
    <row r="45" spans="1:7" x14ac:dyDescent="0.2">
      <c r="A45" t="s">
        <v>19</v>
      </c>
      <c r="B45" s="3">
        <v>12</v>
      </c>
      <c r="C45" t="s">
        <v>30</v>
      </c>
    </row>
    <row r="46" spans="1:7" x14ac:dyDescent="0.2">
      <c r="B46" s="6"/>
    </row>
    <row r="47" spans="1:7" x14ac:dyDescent="0.2">
      <c r="A47" t="s">
        <v>44</v>
      </c>
      <c r="B47" s="8">
        <f>B38/B45</f>
        <v>8.3298611111111101E-2</v>
      </c>
      <c r="C47" t="s">
        <v>33</v>
      </c>
    </row>
    <row r="49" spans="1:3" x14ac:dyDescent="0.2">
      <c r="A49" t="s">
        <v>32</v>
      </c>
      <c r="B49">
        <f>B43+B47</f>
        <v>1.1032986111111112</v>
      </c>
      <c r="C49" t="s">
        <v>33</v>
      </c>
    </row>
    <row r="55" spans="1:3" x14ac:dyDescent="0.2">
      <c r="A55" t="s">
        <v>38</v>
      </c>
      <c r="B55" s="3">
        <v>2</v>
      </c>
      <c r="C55" s="7" t="s">
        <v>37</v>
      </c>
    </row>
    <row r="56" spans="1:3" x14ac:dyDescent="0.2">
      <c r="A56" t="s">
        <v>39</v>
      </c>
      <c r="B56">
        <f>B55*B25</f>
        <v>120.58</v>
      </c>
      <c r="C56" s="7" t="s">
        <v>40</v>
      </c>
    </row>
    <row r="57" spans="1:3" x14ac:dyDescent="0.2">
      <c r="A57" t="s">
        <v>46</v>
      </c>
      <c r="B57">
        <f>B56/B45</f>
        <v>10.048333333333334</v>
      </c>
      <c r="C57" t="s">
        <v>34</v>
      </c>
    </row>
    <row r="58" spans="1:3" x14ac:dyDescent="0.2">
      <c r="A58" t="s">
        <v>46</v>
      </c>
      <c r="B58" s="8">
        <f>B57*MJ_per_kWhr</f>
        <v>36.173999999999999</v>
      </c>
      <c r="C58" t="s">
        <v>36</v>
      </c>
    </row>
    <row r="59" spans="1:3" x14ac:dyDescent="0.2">
      <c r="A59" t="s">
        <v>76</v>
      </c>
      <c r="B59">
        <f>B41/1000 * B44 * 365.25</f>
        <v>9.2727272727272751</v>
      </c>
      <c r="C59" t="s">
        <v>34</v>
      </c>
    </row>
    <row r="60" spans="1:3" x14ac:dyDescent="0.2">
      <c r="A60" t="s">
        <v>76</v>
      </c>
      <c r="B60" s="8">
        <f>B59*MJ_per_kWhr</f>
        <v>33.38181818181819</v>
      </c>
      <c r="C60" t="s">
        <v>36</v>
      </c>
    </row>
    <row r="64" spans="1:3" x14ac:dyDescent="0.2">
      <c r="A64" t="s">
        <v>2</v>
      </c>
      <c r="B64" s="8">
        <v>0.06</v>
      </c>
      <c r="C64" t="s">
        <v>37</v>
      </c>
    </row>
    <row r="70" spans="1:5" x14ac:dyDescent="0.2">
      <c r="A70" t="s">
        <v>69</v>
      </c>
      <c r="B70">
        <f>MPC / (1-MPC)</f>
        <v>18.999999999999982</v>
      </c>
      <c r="C70" s="7" t="s">
        <v>70</v>
      </c>
      <c r="D70" s="7"/>
    </row>
    <row r="71" spans="1:5" x14ac:dyDescent="0.2">
      <c r="A71" t="s">
        <v>71</v>
      </c>
      <c r="B71">
        <f>TFC/GDP</f>
        <v>3.8910406599152001</v>
      </c>
      <c r="C71" t="s">
        <v>72</v>
      </c>
    </row>
    <row r="72" spans="1:5" x14ac:dyDescent="0.2">
      <c r="A72" t="s">
        <v>79</v>
      </c>
      <c r="B72">
        <f>B30-B60</f>
        <v>203.30018181818184</v>
      </c>
      <c r="C72" t="s">
        <v>36</v>
      </c>
      <c r="D72" s="7"/>
    </row>
    <row r="73" spans="1:5" x14ac:dyDescent="0.2">
      <c r="A73" t="s">
        <v>74</v>
      </c>
      <c r="B73">
        <f>B58-B28</f>
        <v>-204.98599999999996</v>
      </c>
      <c r="C73" t="s">
        <v>36</v>
      </c>
      <c r="D73" s="7"/>
    </row>
    <row r="74" spans="1:5" x14ac:dyDescent="0.2">
      <c r="A74" t="s">
        <v>75</v>
      </c>
      <c r="B74">
        <f>B47-B20</f>
        <v>-2.7667013888888889</v>
      </c>
      <c r="C74" t="s">
        <v>33</v>
      </c>
      <c r="D74" s="7"/>
    </row>
    <row r="76" spans="1:5" x14ac:dyDescent="0.2">
      <c r="A76" t="s">
        <v>78</v>
      </c>
      <c r="B76">
        <f xml:space="preserve"> (1 - B64) * B72</f>
        <v>191.10217090909092</v>
      </c>
      <c r="C76" t="s">
        <v>36</v>
      </c>
      <c r="D76" s="7"/>
    </row>
    <row r="77" spans="1:5" x14ac:dyDescent="0.2">
      <c r="A77" t="s">
        <v>66</v>
      </c>
      <c r="B77">
        <f>B72-B73</f>
        <v>408.28618181818183</v>
      </c>
      <c r="C77" t="s">
        <v>36</v>
      </c>
      <c r="D77" s="7"/>
    </row>
    <row r="78" spans="1:5" x14ac:dyDescent="0.2">
      <c r="A78" t="s">
        <v>67</v>
      </c>
      <c r="B78">
        <f>B76-B73</f>
        <v>396.08817090909088</v>
      </c>
      <c r="C78" t="s">
        <v>36</v>
      </c>
      <c r="D78" s="7"/>
    </row>
    <row r="79" spans="1:5" x14ac:dyDescent="0.2">
      <c r="A79" t="s">
        <v>80</v>
      </c>
      <c r="B79">
        <f>B76*B6</f>
        <v>5.8392330000000001</v>
      </c>
      <c r="C79" t="s">
        <v>33</v>
      </c>
      <c r="D79" s="7"/>
    </row>
    <row r="80" spans="1:5" x14ac:dyDescent="0.2">
      <c r="A80" t="s">
        <v>68</v>
      </c>
      <c r="B80">
        <f>B76*B6 - B74</f>
        <v>8.6059343888888886</v>
      </c>
      <c r="C80" t="s">
        <v>33</v>
      </c>
      <c r="D80" s="7"/>
      <c r="E80" t="s">
        <v>15</v>
      </c>
    </row>
    <row r="82" spans="1:4" x14ac:dyDescent="0.2">
      <c r="A82" t="s">
        <v>81</v>
      </c>
      <c r="B82">
        <f>B80* B70 * B71</f>
        <v>636.23477185085301</v>
      </c>
      <c r="C82" t="s">
        <v>36</v>
      </c>
      <c r="D82" s="7"/>
    </row>
    <row r="83" spans="1:4" x14ac:dyDescent="0.2">
      <c r="A83" t="s">
        <v>82</v>
      </c>
      <c r="B83">
        <f>B78-B82</f>
        <v>-240.14660094176213</v>
      </c>
      <c r="C83" t="s">
        <v>36</v>
      </c>
      <c r="D83" s="7"/>
    </row>
    <row r="84" spans="1:4" x14ac:dyDescent="0.2">
      <c r="A84" t="s">
        <v>73</v>
      </c>
      <c r="B84">
        <f>1 - B83/B72</f>
        <v>2.1812414469778156</v>
      </c>
      <c r="D84" s="7"/>
    </row>
    <row r="85" spans="1:4" x14ac:dyDescent="0.2">
      <c r="D85" s="7"/>
    </row>
    <row r="86" spans="1:4" x14ac:dyDescent="0.2">
      <c r="D86" s="7"/>
    </row>
    <row r="88" spans="1:4" x14ac:dyDescent="0.2">
      <c r="A88" t="s">
        <v>83</v>
      </c>
      <c r="B88">
        <f>B73/B72</f>
        <v>-1.0082922610631297</v>
      </c>
      <c r="C88" s="7" t="s">
        <v>70</v>
      </c>
      <c r="D88" s="7"/>
    </row>
    <row r="89" spans="1:4" x14ac:dyDescent="0.2">
      <c r="A89" t="s">
        <v>84</v>
      </c>
      <c r="B89">
        <f>B74/(B6*B72)</f>
        <v>-0.4453837182992279</v>
      </c>
      <c r="C89" t="s">
        <v>70</v>
      </c>
      <c r="D89" s="7"/>
    </row>
    <row r="90" spans="1:4" x14ac:dyDescent="0.2">
      <c r="A90" t="s">
        <v>73</v>
      </c>
      <c r="B90">
        <f>B64 + B88 + (1 - B64 - B89) * B70*B71*B6</f>
        <v>2.1812414469778161</v>
      </c>
      <c r="C90" t="s">
        <v>70</v>
      </c>
      <c r="D90" s="7"/>
    </row>
  </sheetData>
  <hyperlinks>
    <hyperlink ref="G34" r:id="rId1" xr:uid="{2DA89118-5A20-3B46-AE86-7F3FC43B5CD8}"/>
  </hyperlinks>
  <pageMargins left="0.7" right="0.7" top="0.75" bottom="0.75" header="0.3" footer="0.3"/>
  <pageSetup orientation="portrait" horizontalDpi="0" verticalDpi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topLeftCell="A24" workbookViewId="0">
      <selection activeCell="A53" sqref="A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12</v>
      </c>
    </row>
    <row r="5" spans="1:5" x14ac:dyDescent="0.2">
      <c r="A5" t="s">
        <v>47</v>
      </c>
      <c r="B5" s="3">
        <v>2.82</v>
      </c>
      <c r="C5" t="s">
        <v>49</v>
      </c>
    </row>
    <row r="6" spans="1:5" x14ac:dyDescent="0.2">
      <c r="A6" t="s">
        <v>47</v>
      </c>
      <c r="B6" s="8">
        <f>B5/MJ_per_gal</f>
        <v>2.1402550091074682E-2</v>
      </c>
      <c r="C6" t="s">
        <v>11</v>
      </c>
    </row>
    <row r="8" spans="1:5" ht="26" x14ac:dyDescent="0.3">
      <c r="A8" s="4" t="s">
        <v>16</v>
      </c>
    </row>
    <row r="9" spans="1:5" x14ac:dyDescent="0.2">
      <c r="A9" s="2"/>
    </row>
    <row r="10" spans="1:5" x14ac:dyDescent="0.2">
      <c r="A10" t="s">
        <v>41</v>
      </c>
      <c r="B10" s="3">
        <v>37149</v>
      </c>
      <c r="C10" t="s">
        <v>50</v>
      </c>
    </row>
    <row r="11" spans="1:5" x14ac:dyDescent="0.2">
      <c r="A11" t="s">
        <v>19</v>
      </c>
      <c r="B11" s="3">
        <v>11.4</v>
      </c>
      <c r="C11" t="s">
        <v>30</v>
      </c>
    </row>
    <row r="12" spans="1:5" x14ac:dyDescent="0.2">
      <c r="B12" s="6"/>
    </row>
    <row r="13" spans="1:5" x14ac:dyDescent="0.2">
      <c r="A13" s="10" t="s">
        <v>57</v>
      </c>
      <c r="B13" s="3">
        <v>24.7</v>
      </c>
      <c r="C13" t="s">
        <v>59</v>
      </c>
    </row>
    <row r="14" spans="1:5" x14ac:dyDescent="0.2">
      <c r="A14" s="6"/>
      <c r="B14" s="6"/>
      <c r="C14" s="6"/>
      <c r="E14" t="s">
        <v>53</v>
      </c>
    </row>
    <row r="15" spans="1:5" x14ac:dyDescent="0.2">
      <c r="A15" t="s">
        <v>25</v>
      </c>
      <c r="B15" s="3">
        <v>13476</v>
      </c>
      <c r="C15" t="s">
        <v>56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43</v>
      </c>
      <c r="B19" s="8">
        <f>B10/B11</f>
        <v>3258.6842105263158</v>
      </c>
      <c r="C19" t="s">
        <v>33</v>
      </c>
    </row>
    <row r="20" spans="1:12" x14ac:dyDescent="0.2">
      <c r="B20" s="6"/>
    </row>
    <row r="21" spans="1:12" x14ac:dyDescent="0.2">
      <c r="A21" t="s">
        <v>24</v>
      </c>
      <c r="B21">
        <f>B15/B13*B5</f>
        <v>1538.5554655870444</v>
      </c>
      <c r="C21" t="s">
        <v>33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28</v>
      </c>
      <c r="B24">
        <v>76000</v>
      </c>
      <c r="C24" t="s">
        <v>62</v>
      </c>
    </row>
    <row r="25" spans="1:12" x14ac:dyDescent="0.2">
      <c r="A25" t="s">
        <v>28</v>
      </c>
      <c r="B25" s="3">
        <f>B24*MJ_per_kWhr</f>
        <v>273600</v>
      </c>
      <c r="C25" t="s">
        <v>63</v>
      </c>
    </row>
    <row r="26" spans="1:12" x14ac:dyDescent="0.2">
      <c r="A26" t="s">
        <v>45</v>
      </c>
      <c r="B26" s="8">
        <f>B25/B11</f>
        <v>24000</v>
      </c>
      <c r="C26" t="s">
        <v>36</v>
      </c>
    </row>
    <row r="27" spans="1:12" x14ac:dyDescent="0.2">
      <c r="A27" t="s">
        <v>77</v>
      </c>
      <c r="B27">
        <f>B15/B13</f>
        <v>545.58704453441294</v>
      </c>
      <c r="C27" t="s">
        <v>60</v>
      </c>
    </row>
    <row r="28" spans="1:12" x14ac:dyDescent="0.2">
      <c r="A28" t="s">
        <v>77</v>
      </c>
      <c r="B28" s="8">
        <f>B27*MJ_per_gal</f>
        <v>71886.548987854243</v>
      </c>
      <c r="C28" t="s">
        <v>36</v>
      </c>
    </row>
    <row r="29" spans="1:12" x14ac:dyDescent="0.2">
      <c r="L29" t="s">
        <v>55</v>
      </c>
    </row>
    <row r="31" spans="1:12" x14ac:dyDescent="0.2">
      <c r="E31" t="s">
        <v>54</v>
      </c>
    </row>
    <row r="34" spans="1:12" ht="26" x14ac:dyDescent="0.3">
      <c r="A34" s="4" t="s">
        <v>17</v>
      </c>
    </row>
    <row r="35" spans="1:12" x14ac:dyDescent="0.2">
      <c r="A35" s="2"/>
    </row>
    <row r="36" spans="1:12" x14ac:dyDescent="0.2">
      <c r="A36" t="s">
        <v>41</v>
      </c>
      <c r="B36" s="6">
        <f>B10+1000</f>
        <v>38149</v>
      </c>
      <c r="C36" t="s">
        <v>50</v>
      </c>
    </row>
    <row r="37" spans="1:12" x14ac:dyDescent="0.2">
      <c r="A37" t="s">
        <v>19</v>
      </c>
      <c r="B37" s="3">
        <f>B11</f>
        <v>11.4</v>
      </c>
      <c r="C37" t="s">
        <v>30</v>
      </c>
    </row>
    <row r="38" spans="1:12" x14ac:dyDescent="0.2">
      <c r="B38" s="6"/>
    </row>
    <row r="39" spans="1:12" x14ac:dyDescent="0.2">
      <c r="A39" t="s">
        <v>57</v>
      </c>
      <c r="B39" s="3">
        <f>B13*1.25</f>
        <v>30.875</v>
      </c>
      <c r="C39" t="s">
        <v>59</v>
      </c>
    </row>
    <row r="41" spans="1:12" x14ac:dyDescent="0.2">
      <c r="A41" t="s">
        <v>24</v>
      </c>
      <c r="B41" s="6">
        <f>B15/B39*B5</f>
        <v>1230.8443724696356</v>
      </c>
      <c r="C41" t="s">
        <v>23</v>
      </c>
    </row>
    <row r="42" spans="1:12" x14ac:dyDescent="0.2">
      <c r="E42" t="s">
        <v>58</v>
      </c>
      <c r="L42" t="s">
        <v>61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44</v>
      </c>
      <c r="B45" s="8">
        <f>B36/B37</f>
        <v>3346.4035087719299</v>
      </c>
      <c r="C45" t="s">
        <v>33</v>
      </c>
    </row>
    <row r="48" spans="1:12" x14ac:dyDescent="0.2">
      <c r="A48" t="s">
        <v>38</v>
      </c>
      <c r="B48" s="3">
        <v>1</v>
      </c>
      <c r="C48" s="7" t="s">
        <v>37</v>
      </c>
    </row>
    <row r="49" spans="1:5" x14ac:dyDescent="0.2">
      <c r="A49" t="s">
        <v>39</v>
      </c>
      <c r="B49">
        <f>B48*B25</f>
        <v>273600</v>
      </c>
      <c r="C49" s="7" t="s">
        <v>63</v>
      </c>
      <c r="E49" s="9" t="s">
        <v>64</v>
      </c>
    </row>
    <row r="50" spans="1:5" x14ac:dyDescent="0.2">
      <c r="A50" t="s">
        <v>46</v>
      </c>
      <c r="B50" s="11">
        <f>B49/B11</f>
        <v>24000</v>
      </c>
      <c r="C50" t="s">
        <v>36</v>
      </c>
    </row>
    <row r="51" spans="1:5" x14ac:dyDescent="0.2">
      <c r="A51" t="s">
        <v>76</v>
      </c>
      <c r="B51">
        <f>B15/B39</f>
        <v>436.46963562753035</v>
      </c>
      <c r="C51" t="s">
        <v>60</v>
      </c>
    </row>
    <row r="52" spans="1:5" x14ac:dyDescent="0.2">
      <c r="A52" t="s">
        <v>76</v>
      </c>
      <c r="B52" s="8">
        <f>B51*MJ_per_gal</f>
        <v>57509.239190283392</v>
      </c>
      <c r="C52" t="s">
        <v>36</v>
      </c>
    </row>
    <row r="56" spans="1:5" x14ac:dyDescent="0.2">
      <c r="A56" t="s">
        <v>2</v>
      </c>
      <c r="B56" s="8">
        <v>0</v>
      </c>
      <c r="C56" t="s">
        <v>37</v>
      </c>
    </row>
    <row r="70" spans="4:5" x14ac:dyDescent="0.2">
      <c r="E70" s="9" t="s">
        <v>48</v>
      </c>
    </row>
    <row r="79" spans="4:5" x14ac:dyDescent="0.2">
      <c r="D79" s="9" t="s">
        <v>48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J3"/>
  <sheetViews>
    <sheetView tabSelected="1" workbookViewId="0">
      <selection activeCell="J2" sqref="J2"/>
    </sheetView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0" x14ac:dyDescent="0.2">
      <c r="A1" t="s">
        <v>0</v>
      </c>
      <c r="B1" t="s">
        <v>1</v>
      </c>
      <c r="C1" t="s">
        <v>65</v>
      </c>
      <c r="D1" t="s">
        <v>2</v>
      </c>
      <c r="E1" t="s">
        <v>43</v>
      </c>
      <c r="F1" t="s">
        <v>45</v>
      </c>
      <c r="G1" t="s">
        <v>77</v>
      </c>
      <c r="H1" t="s">
        <v>44</v>
      </c>
      <c r="I1" t="s">
        <v>46</v>
      </c>
      <c r="J1" t="s">
        <v>76</v>
      </c>
    </row>
    <row r="2" spans="1:10" x14ac:dyDescent="0.2">
      <c r="A2" t="s">
        <v>42</v>
      </c>
      <c r="B2" t="s">
        <v>6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</row>
    <row r="3" spans="1:10" x14ac:dyDescent="0.2">
      <c r="A3" t="s">
        <v>42</v>
      </c>
      <c r="B3" t="s">
        <v>7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Meta</vt:lpstr>
      <vt:lpstr>Conversion Factors</vt:lpstr>
      <vt:lpstr>Economic data</vt:lpstr>
      <vt:lpstr>Light</vt:lpstr>
      <vt:lpstr>Car</vt:lpstr>
      <vt:lpstr>Project data</vt:lpstr>
      <vt:lpstr>GDP</vt:lpstr>
      <vt:lpstr>MJ_per_gal</vt:lpstr>
      <vt:lpstr>MJ_per_ktoe</vt:lpstr>
      <vt:lpstr>MJ_per_kWhr</vt:lpstr>
      <vt:lpstr>MPC</vt:lpstr>
      <vt:lpstr>TFC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2019-09-01T01:42:23Z</dcterms:modified>
</cp:coreProperties>
</file>